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<sst xmlns="http://schemas.openxmlformats.org/spreadsheetml/2006/main" count="628" uniqueCount="158">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</sst>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9" sqref="E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225367.59000000003</v>
      </c>
      <c r="G8" s="15">
        <f aca="true" t="shared" si="0" ref="G8:G21">F8-E8</f>
        <v>-46307.08999999997</v>
      </c>
      <c r="H8" s="38">
        <f>F8/E8*100</f>
        <v>82.9549481755164</v>
      </c>
      <c r="I8" s="28">
        <f>F8-D8</f>
        <v>-615682.4099999999</v>
      </c>
      <c r="J8" s="28">
        <f>F8/D8*100</f>
        <v>26.79598002496879</v>
      </c>
      <c r="K8" s="15">
        <f>F8-198537.14</f>
        <v>26830.45000000001</v>
      </c>
      <c r="L8" s="15">
        <f>F8/198537.14*100</f>
        <v>113.51407096929069</v>
      </c>
      <c r="M8" s="15">
        <f>M9+M15+M18+M19+M20+M32+M17</f>
        <v>71360.49999999999</v>
      </c>
      <c r="N8" s="15">
        <f>N9+N15+N18+N19+N20+N32+N17</f>
        <v>15579.879999999992</v>
      </c>
      <c r="O8" s="15">
        <f>N8-M8</f>
        <v>-55780.619999999995</v>
      </c>
      <c r="P8" s="15">
        <f>N8/M8*100</f>
        <v>21.832638504494778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124005.06</v>
      </c>
      <c r="G9" s="36">
        <f t="shared" si="0"/>
        <v>-21778.209999999992</v>
      </c>
      <c r="H9" s="32">
        <f>F9/E9*100</f>
        <v>85.06124193811814</v>
      </c>
      <c r="I9" s="42">
        <f>F9-D9</f>
        <v>-335694.94</v>
      </c>
      <c r="J9" s="42">
        <f>F9/D9*100</f>
        <v>26.975214270176203</v>
      </c>
      <c r="K9" s="106">
        <f>F9-110765.65</f>
        <v>13239.410000000003</v>
      </c>
      <c r="L9" s="106">
        <f>F9/110765.65*100</f>
        <v>111.9526315243038</v>
      </c>
      <c r="M9" s="32">
        <f>E9-березень!E9</f>
        <v>39799.999999999985</v>
      </c>
      <c r="N9" s="178">
        <f>F9-березень!F9</f>
        <v>11723.23999999999</v>
      </c>
      <c r="O9" s="40">
        <f>N9-M9</f>
        <v>-28076.759999999995</v>
      </c>
      <c r="P9" s="42">
        <f>N9/M9*100</f>
        <v>29.455376884422098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109398.1</v>
      </c>
      <c r="G10" s="109">
        <f t="shared" si="0"/>
        <v>-21518.73999999999</v>
      </c>
      <c r="H10" s="32">
        <f aca="true" t="shared" si="1" ref="H10:H31">F10/E10*100</f>
        <v>83.56304658743673</v>
      </c>
      <c r="I10" s="110">
        <f aca="true" t="shared" si="2" ref="I10:I32">F10-D10</f>
        <v>-302041.9</v>
      </c>
      <c r="J10" s="110">
        <f aca="true" t="shared" si="3" ref="J10:J31">F10/D10*100</f>
        <v>26.589077386739255</v>
      </c>
      <c r="K10" s="112">
        <f>F10-98351.31</f>
        <v>11046.790000000008</v>
      </c>
      <c r="L10" s="112">
        <f>F10/98351.31*100</f>
        <v>111.23197037233162</v>
      </c>
      <c r="M10" s="111">
        <f>E10-березень!E10</f>
        <v>36300</v>
      </c>
      <c r="N10" s="179">
        <f>F10-березень!F10</f>
        <v>10933.720000000001</v>
      </c>
      <c r="O10" s="112">
        <f aca="true" t="shared" si="4" ref="O10:O32">N10-M10</f>
        <v>-25366.28</v>
      </c>
      <c r="P10" s="42">
        <f aca="true" t="shared" si="5" ref="P10:P25">N10/M10*100</f>
        <v>30.120440771349866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8301.88</v>
      </c>
      <c r="G11" s="109">
        <f t="shared" si="0"/>
        <v>-333.0600000000013</v>
      </c>
      <c r="H11" s="32">
        <f t="shared" si="1"/>
        <v>96.14287997368828</v>
      </c>
      <c r="I11" s="110">
        <f t="shared" si="2"/>
        <v>-14698.12</v>
      </c>
      <c r="J11" s="110">
        <f t="shared" si="3"/>
        <v>36.095130434782604</v>
      </c>
      <c r="K11" s="112">
        <f>F11-6301.46</f>
        <v>2000.4199999999992</v>
      </c>
      <c r="L11" s="112">
        <f>F11/6301.46*100</f>
        <v>131.74534155576643</v>
      </c>
      <c r="M11" s="111">
        <f>E11-березень!E11</f>
        <v>1550.000000000001</v>
      </c>
      <c r="N11" s="179">
        <f>F11-березень!F11</f>
        <v>224.76999999999953</v>
      </c>
      <c r="O11" s="112">
        <f t="shared" si="4"/>
        <v>-1325.2300000000014</v>
      </c>
      <c r="P11" s="42">
        <f t="shared" si="5"/>
        <v>14.501290322580607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2532.65</v>
      </c>
      <c r="G12" s="109">
        <f t="shared" si="0"/>
        <v>842.0400000000002</v>
      </c>
      <c r="H12" s="32">
        <f t="shared" si="1"/>
        <v>149.80687444176954</v>
      </c>
      <c r="I12" s="110">
        <f t="shared" si="2"/>
        <v>-3967.35</v>
      </c>
      <c r="J12" s="110">
        <f t="shared" si="3"/>
        <v>38.963846153846156</v>
      </c>
      <c r="K12" s="112">
        <f>F12-1718.24</f>
        <v>814.4100000000001</v>
      </c>
      <c r="L12" s="112">
        <f>F12/1718.24*100</f>
        <v>147.39791880063322</v>
      </c>
      <c r="M12" s="111">
        <f>E12-березень!E12</f>
        <v>585</v>
      </c>
      <c r="N12" s="179">
        <f>F12-березень!F12</f>
        <v>153.1800000000003</v>
      </c>
      <c r="O12" s="112">
        <f t="shared" si="4"/>
        <v>-431.8199999999997</v>
      </c>
      <c r="P12" s="42">
        <f t="shared" si="5"/>
        <v>26.184615384615434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2582.63</v>
      </c>
      <c r="G13" s="109">
        <f t="shared" si="0"/>
        <v>-82.21000000000004</v>
      </c>
      <c r="H13" s="32">
        <f t="shared" si="1"/>
        <v>96.9150117830714</v>
      </c>
      <c r="I13" s="110">
        <f t="shared" si="2"/>
        <v>-9817.369999999999</v>
      </c>
      <c r="J13" s="110">
        <f t="shared" si="3"/>
        <v>20.82766129032258</v>
      </c>
      <c r="K13" s="112">
        <f>F13-1662.77</f>
        <v>919.8600000000001</v>
      </c>
      <c r="L13" s="112">
        <f>F13/1662.77*100</f>
        <v>155.32094035855832</v>
      </c>
      <c r="M13" s="111">
        <f>E13-березень!E13</f>
        <v>755.0000000000002</v>
      </c>
      <c r="N13" s="179">
        <f>F13-березень!F13</f>
        <v>157.69000000000005</v>
      </c>
      <c r="O13" s="112">
        <f t="shared" si="4"/>
        <v>-597.3100000000002</v>
      </c>
      <c r="P13" s="42">
        <f t="shared" si="5"/>
        <v>20.88609271523179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F14-2731.87</f>
        <v>-1542.06</v>
      </c>
      <c r="L14" s="112">
        <f>F14/2731.87*100</f>
        <v>43.55295090908425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184.64</v>
      </c>
      <c r="G15" s="36">
        <f t="shared" si="0"/>
        <v>64.63999999999999</v>
      </c>
      <c r="H15" s="32"/>
      <c r="I15" s="42">
        <f t="shared" si="2"/>
        <v>-315.36</v>
      </c>
      <c r="J15" s="42">
        <f t="shared" si="3"/>
        <v>36.928</v>
      </c>
      <c r="K15" s="43">
        <f>F15-(-910.25)</f>
        <v>1094.8899999999999</v>
      </c>
      <c r="L15" s="43">
        <f>F15/(-910.25)*100</f>
        <v>-20.284537215050808</v>
      </c>
      <c r="M15" s="32">
        <f>E15-березень!E15</f>
        <v>10</v>
      </c>
      <c r="N15" s="178">
        <f>F15-березень!F15</f>
        <v>-0.4200000000000159</v>
      </c>
      <c r="O15" s="40">
        <f t="shared" si="4"/>
        <v>-10.420000000000016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18363.51</v>
      </c>
      <c r="G19" s="36">
        <f t="shared" si="0"/>
        <v>-10196.890000000003</v>
      </c>
      <c r="H19" s="32">
        <f t="shared" si="1"/>
        <v>64.29710368202124</v>
      </c>
      <c r="I19" s="42">
        <f t="shared" si="2"/>
        <v>-91536.49</v>
      </c>
      <c r="J19" s="42">
        <f t="shared" si="3"/>
        <v>16.70929026387625</v>
      </c>
      <c r="K19" s="185">
        <f>F19-16357.62</f>
        <v>2005.8899999999976</v>
      </c>
      <c r="L19" s="185">
        <f>F19/16357.62*100</f>
        <v>112.26272526198797</v>
      </c>
      <c r="M19" s="32">
        <f>E19-березень!E19</f>
        <v>8500</v>
      </c>
      <c r="N19" s="178">
        <f>F19-березень!F19</f>
        <v>92.61999999999898</v>
      </c>
      <c r="O19" s="40">
        <f t="shared" si="4"/>
        <v>-8407.380000000001</v>
      </c>
      <c r="P19" s="42">
        <f t="shared" si="5"/>
        <v>1.0896470588235174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82708.53000000001</v>
      </c>
      <c r="G20" s="36">
        <f t="shared" si="0"/>
        <v>-14492.479999999996</v>
      </c>
      <c r="H20" s="32">
        <f t="shared" si="1"/>
        <v>85.09019607923828</v>
      </c>
      <c r="I20" s="42">
        <f t="shared" si="2"/>
        <v>-188231.46999999997</v>
      </c>
      <c r="J20" s="42">
        <f t="shared" si="3"/>
        <v>30.52651140473906</v>
      </c>
      <c r="K20" s="132">
        <f>F20-70294.13</f>
        <v>12414.400000000009</v>
      </c>
      <c r="L20" s="132">
        <f>F20/70294.13*100</f>
        <v>117.66064961612017</v>
      </c>
      <c r="M20" s="32">
        <f>M21+M25+M26+M27</f>
        <v>23050.5</v>
      </c>
      <c r="N20" s="178">
        <f>F20-березень!F20</f>
        <v>3764.4400000000023</v>
      </c>
      <c r="O20" s="40">
        <f t="shared" si="4"/>
        <v>-19286.059999999998</v>
      </c>
      <c r="P20" s="42">
        <f t="shared" si="5"/>
        <v>16.331272640506725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41737.950000000004</v>
      </c>
      <c r="G21" s="36">
        <f t="shared" si="0"/>
        <v>-9948.309999999998</v>
      </c>
      <c r="H21" s="32">
        <f t="shared" si="1"/>
        <v>80.7525055981996</v>
      </c>
      <c r="I21" s="42">
        <f t="shared" si="2"/>
        <v>-119662.04999999999</v>
      </c>
      <c r="J21" s="42">
        <f t="shared" si="3"/>
        <v>25.85994423791822</v>
      </c>
      <c r="K21" s="132">
        <f>F21-37283.9</f>
        <v>4454.050000000003</v>
      </c>
      <c r="L21" s="132">
        <f>F21/37283.9*100</f>
        <v>111.94630926485696</v>
      </c>
      <c r="M21" s="32">
        <f>M22+M23+M24</f>
        <v>14845</v>
      </c>
      <c r="N21" s="178">
        <f>F21-березень!F21</f>
        <v>1349.8400000000038</v>
      </c>
      <c r="O21" s="40">
        <f t="shared" si="4"/>
        <v>-13495.159999999996</v>
      </c>
      <c r="P21" s="42">
        <f t="shared" si="5"/>
        <v>9.092893230043812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4485.73</v>
      </c>
      <c r="G22" s="109">
        <f>F22-E22</f>
        <v>-2145.870000000001</v>
      </c>
      <c r="H22" s="111">
        <f t="shared" si="1"/>
        <v>67.64174558176005</v>
      </c>
      <c r="I22" s="110">
        <f t="shared" si="2"/>
        <v>-14014.27</v>
      </c>
      <c r="J22" s="110">
        <f t="shared" si="3"/>
        <v>24.247189189189186</v>
      </c>
      <c r="K22" s="174">
        <f>F22-4219.07</f>
        <v>266.65999999999985</v>
      </c>
      <c r="L22" s="174">
        <f>F22/4219.07*100</f>
        <v>106.32035021936113</v>
      </c>
      <c r="M22" s="111">
        <f>E22-березень!E22</f>
        <v>3100.0000000000005</v>
      </c>
      <c r="N22" s="179">
        <f>F22-березень!F22</f>
        <v>290.83999999999924</v>
      </c>
      <c r="O22" s="112">
        <f t="shared" si="4"/>
        <v>-2809.160000000001</v>
      </c>
      <c r="P22" s="110">
        <f t="shared" si="5"/>
        <v>9.381935483870942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321.99</v>
      </c>
      <c r="G23" s="109">
        <f>F23-E23</f>
        <v>45.150000000000034</v>
      </c>
      <c r="H23" s="111">
        <f t="shared" si="1"/>
        <v>116.30905938448201</v>
      </c>
      <c r="I23" s="110">
        <f t="shared" si="2"/>
        <v>-2478.01</v>
      </c>
      <c r="J23" s="110">
        <f t="shared" si="3"/>
        <v>11.499642857142858</v>
      </c>
      <c r="K23" s="110">
        <f>F23-141.72</f>
        <v>180.27</v>
      </c>
      <c r="L23" s="110">
        <f>F23/141.72*100</f>
        <v>227.20152413209144</v>
      </c>
      <c r="M23" s="111">
        <f>E23-березень!E23</f>
        <v>74.99999999999997</v>
      </c>
      <c r="N23" s="179">
        <f>F23-березень!F23</f>
        <v>8.110000000000014</v>
      </c>
      <c r="O23" s="112">
        <f t="shared" si="4"/>
        <v>-66.88999999999996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36930.23</v>
      </c>
      <c r="G24" s="109">
        <f>F24-E24</f>
        <v>-7847.5899999999965</v>
      </c>
      <c r="H24" s="111">
        <f t="shared" si="1"/>
        <v>82.47438128966529</v>
      </c>
      <c r="I24" s="110">
        <f t="shared" si="2"/>
        <v>-103169.76999999999</v>
      </c>
      <c r="J24" s="110">
        <f t="shared" si="3"/>
        <v>26.359907209136335</v>
      </c>
      <c r="K24" s="174">
        <f>F24-32923.11</f>
        <v>4007.1200000000026</v>
      </c>
      <c r="L24" s="174">
        <f>F24/32923.11*100</f>
        <v>112.17114665048351</v>
      </c>
      <c r="M24" s="111">
        <f>E24-березень!E24</f>
        <v>11670</v>
      </c>
      <c r="N24" s="179">
        <f>F24-березень!F24</f>
        <v>1050.8900000000067</v>
      </c>
      <c r="O24" s="112">
        <f t="shared" si="4"/>
        <v>-10619.109999999993</v>
      </c>
      <c r="P24" s="110">
        <f t="shared" si="5"/>
        <v>9.005055698371951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24.81</v>
      </c>
      <c r="G25" s="36">
        <f>F25-E25</f>
        <v>5.299999999999997</v>
      </c>
      <c r="H25" s="32">
        <f t="shared" si="1"/>
        <v>127.16555612506406</v>
      </c>
      <c r="I25" s="42">
        <f t="shared" si="2"/>
        <v>-52.19</v>
      </c>
      <c r="J25" s="42">
        <f t="shared" si="3"/>
        <v>32.220779220779214</v>
      </c>
      <c r="K25" s="132">
        <f>F25-23.16</f>
        <v>1.6499999999999986</v>
      </c>
      <c r="L25" s="132">
        <f>F25/23.16*100</f>
        <v>107.12435233160622</v>
      </c>
      <c r="M25" s="32">
        <f>E25-березень!E25</f>
        <v>5.500000000000002</v>
      </c>
      <c r="N25" s="178">
        <f>F25-березень!F25</f>
        <v>0</v>
      </c>
      <c r="O25" s="40">
        <f t="shared" si="4"/>
        <v>-5.500000000000002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-101.51</v>
      </c>
      <c r="G26" s="36">
        <f aca="true" t="shared" si="6" ref="G26:G32">F26-E26</f>
        <v>-101.51</v>
      </c>
      <c r="H26" s="32"/>
      <c r="I26" s="42">
        <f t="shared" si="2"/>
        <v>-101.51</v>
      </c>
      <c r="J26" s="42"/>
      <c r="K26" s="132">
        <f>F26-(-59.24)</f>
        <v>-42.27</v>
      </c>
      <c r="L26" s="132">
        <f>F26/(-59.24)*100</f>
        <v>171.35381498987172</v>
      </c>
      <c r="M26" s="32">
        <f>E26-березень!E26</f>
        <v>0</v>
      </c>
      <c r="N26" s="178">
        <f>F26-березень!F26</f>
        <v>-19.97</v>
      </c>
      <c r="O26" s="40">
        <f t="shared" si="4"/>
        <v>-19.97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41047.28</v>
      </c>
      <c r="G27" s="36">
        <f t="shared" si="6"/>
        <v>-4447.959999999999</v>
      </c>
      <c r="H27" s="32">
        <f t="shared" si="1"/>
        <v>90.22324093685405</v>
      </c>
      <c r="I27" s="42">
        <f t="shared" si="2"/>
        <v>-68415.72</v>
      </c>
      <c r="J27" s="42">
        <f t="shared" si="3"/>
        <v>37.49877127431186</v>
      </c>
      <c r="K27" s="106">
        <f>F27-33046.32</f>
        <v>8000.959999999999</v>
      </c>
      <c r="L27" s="106">
        <f>F27/33046.32*100</f>
        <v>124.2113494028987</v>
      </c>
      <c r="M27" s="32">
        <f>E27-березень!E27</f>
        <v>8200</v>
      </c>
      <c r="N27" s="178">
        <f>F27-березень!F27</f>
        <v>2434.5699999999997</v>
      </c>
      <c r="O27" s="40">
        <f t="shared" si="4"/>
        <v>-5765.43</v>
      </c>
      <c r="P27" s="42">
        <f>N27/M27*100</f>
        <v>29.689878048780482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10161.31</v>
      </c>
      <c r="G29" s="109">
        <f t="shared" si="6"/>
        <v>-1094.6599999999999</v>
      </c>
      <c r="H29" s="111">
        <f t="shared" si="1"/>
        <v>90.27484970198037</v>
      </c>
      <c r="I29" s="110">
        <f t="shared" si="2"/>
        <v>-17438.690000000002</v>
      </c>
      <c r="J29" s="110">
        <f t="shared" si="3"/>
        <v>36.81634057971014</v>
      </c>
      <c r="K29" s="142">
        <f>F29-8182.41</f>
        <v>1978.8999999999996</v>
      </c>
      <c r="L29" s="142">
        <f>F29/8182.41*100</f>
        <v>124.18480618790797</v>
      </c>
      <c r="M29" s="111">
        <f>E29-березень!E29</f>
        <v>1900</v>
      </c>
      <c r="N29" s="179">
        <f>F29-березень!F29</f>
        <v>348.8199999999997</v>
      </c>
      <c r="O29" s="112">
        <f t="shared" si="4"/>
        <v>-1551.1800000000003</v>
      </c>
      <c r="P29" s="110">
        <f>N29/M29*100</f>
        <v>18.35894736842104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30878.09</v>
      </c>
      <c r="G30" s="109">
        <f t="shared" si="6"/>
        <v>-3357.9900000000016</v>
      </c>
      <c r="H30" s="111">
        <f t="shared" si="1"/>
        <v>90.19166329790093</v>
      </c>
      <c r="I30" s="110">
        <f t="shared" si="2"/>
        <v>-50933.91</v>
      </c>
      <c r="J30" s="110">
        <f t="shared" si="3"/>
        <v>37.742739451425216</v>
      </c>
      <c r="K30" s="142">
        <f>F30-24859.36</f>
        <v>6018.73</v>
      </c>
      <c r="L30" s="142">
        <f>F30/24859.36*100</f>
        <v>124.21112208842062</v>
      </c>
      <c r="M30" s="111">
        <f>E30-березень!E30</f>
        <v>6300</v>
      </c>
      <c r="N30" s="179">
        <f>F30-березень!F30</f>
        <v>2085.709999999999</v>
      </c>
      <c r="O30" s="112">
        <f t="shared" si="4"/>
        <v>-4214.290000000001</v>
      </c>
      <c r="P30" s="110">
        <f>N30/M30*100</f>
        <v>33.106507936507924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15050.97</v>
      </c>
      <c r="G33" s="15">
        <f>G34+G35+G36+G37+G38+G39+G41+G42+G43+G44+G45+G50+G51+G55</f>
        <v>804.9599999999997</v>
      </c>
      <c r="H33" s="38">
        <f>F33/E33*100</f>
        <v>105.65027590142657</v>
      </c>
      <c r="I33" s="28">
        <f>F33-D33</f>
        <v>-27769.03</v>
      </c>
      <c r="J33" s="28">
        <f>F33/D33*100</f>
        <v>35.14939280709948</v>
      </c>
      <c r="K33" s="15">
        <f>F33-10433.59</f>
        <v>4617.379999999999</v>
      </c>
      <c r="L33" s="15">
        <f>F33/10433.59*100</f>
        <v>144.2549496386191</v>
      </c>
      <c r="M33" s="15">
        <f>M34+M35+M36+M37+M38+M39+M41+M42+M43+M44+M45+M50+M51+M55</f>
        <v>3735.999</v>
      </c>
      <c r="N33" s="15">
        <f>N34+N35+N36+N37+N38+N39+N41+N42+N43+N44+N45+N50+N51+N55</f>
        <v>4378.700000000001</v>
      </c>
      <c r="O33" s="15">
        <f>O34+O35+O36+O37+O38+O39+O41+O42+O43+O44+O45+O50+O51+O55</f>
        <v>642.701</v>
      </c>
      <c r="P33" s="15">
        <f>N33/M33*100</f>
        <v>117.20292216352308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F34-83.98</f>
        <v>10.670000000000002</v>
      </c>
      <c r="L34" s="42">
        <f>F34/83.98*100</f>
        <v>112.70540604905929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23.11</v>
      </c>
      <c r="G38" s="36">
        <f t="shared" si="9"/>
        <v>-16.89</v>
      </c>
      <c r="H38" s="32">
        <f t="shared" si="7"/>
        <v>57.775</v>
      </c>
      <c r="I38" s="42">
        <f t="shared" si="10"/>
        <v>-126.89</v>
      </c>
      <c r="J38" s="42">
        <f t="shared" si="12"/>
        <v>15.406666666666666</v>
      </c>
      <c r="K38" s="42">
        <f>F38-41.25</f>
        <v>-18.14</v>
      </c>
      <c r="L38" s="42">
        <f>F38/41.25*100</f>
        <v>56.02424242424242</v>
      </c>
      <c r="M38" s="32">
        <f>E38-березень!E38</f>
        <v>10</v>
      </c>
      <c r="N38" s="178">
        <f>F38-березень!F38</f>
        <v>2.710000000000001</v>
      </c>
      <c r="O38" s="40">
        <f t="shared" si="11"/>
        <v>-7.289999999999999</v>
      </c>
      <c r="P38" s="42">
        <f t="shared" si="8"/>
        <v>27.10000000000001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2533.54</v>
      </c>
      <c r="G41" s="36">
        <f t="shared" si="9"/>
        <v>-405.48</v>
      </c>
      <c r="H41" s="32">
        <f t="shared" si="7"/>
        <v>86.20356445345728</v>
      </c>
      <c r="I41" s="42">
        <f t="shared" si="10"/>
        <v>-7366.46</v>
      </c>
      <c r="J41" s="42">
        <f t="shared" si="12"/>
        <v>25.591313131313132</v>
      </c>
      <c r="K41" s="42">
        <f>F41-3348.03</f>
        <v>-814.4900000000002</v>
      </c>
      <c r="L41" s="42">
        <f>F41/3348.03*100</f>
        <v>75.6725596843517</v>
      </c>
      <c r="M41" s="32">
        <f>E41-березень!E41</f>
        <v>800</v>
      </c>
      <c r="N41" s="178">
        <f>F41-березень!F41</f>
        <v>193.96000000000004</v>
      </c>
      <c r="O41" s="40">
        <f t="shared" si="11"/>
        <v>-606.04</v>
      </c>
      <c r="P41" s="42">
        <f t="shared" si="8"/>
        <v>24.245000000000005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1641.4</v>
      </c>
      <c r="G45" s="36">
        <f t="shared" si="9"/>
        <v>-372.78999999999996</v>
      </c>
      <c r="H45" s="32">
        <f t="shared" si="7"/>
        <v>81.4918155685412</v>
      </c>
      <c r="I45" s="42">
        <f t="shared" si="10"/>
        <v>-5658.6</v>
      </c>
      <c r="J45" s="42">
        <f t="shared" si="12"/>
        <v>22.484931506849314</v>
      </c>
      <c r="K45" s="132">
        <f>F45-2831.1</f>
        <v>-1189.6999999999998</v>
      </c>
      <c r="L45" s="132">
        <f>F45/2831.1*100</f>
        <v>57.97746458973544</v>
      </c>
      <c r="M45" s="32">
        <f>E45-березень!E45</f>
        <v>641</v>
      </c>
      <c r="N45" s="178">
        <f>F45-березень!F45</f>
        <v>141.30000000000018</v>
      </c>
      <c r="O45" s="40">
        <f t="shared" si="11"/>
        <v>-499.6999999999998</v>
      </c>
      <c r="P45" s="132">
        <f t="shared" si="8"/>
        <v>22.04368174726992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183.47</v>
      </c>
      <c r="G46" s="36">
        <f t="shared" si="9"/>
        <v>-105.52000000000001</v>
      </c>
      <c r="H46" s="32">
        <f t="shared" si="7"/>
        <v>63.48662583480397</v>
      </c>
      <c r="I46" s="110">
        <f t="shared" si="10"/>
        <v>-916.53</v>
      </c>
      <c r="J46" s="110">
        <f t="shared" si="12"/>
        <v>16.67909090909091</v>
      </c>
      <c r="K46" s="110">
        <f>F46-319.39</f>
        <v>-135.92</v>
      </c>
      <c r="L46" s="110">
        <f>F46/319.39*100</f>
        <v>57.44387739127712</v>
      </c>
      <c r="M46" s="111">
        <f>E46-березень!E46</f>
        <v>100</v>
      </c>
      <c r="N46" s="179">
        <f>F46-березень!F46</f>
        <v>19.789999999999992</v>
      </c>
      <c r="O46" s="112">
        <f t="shared" si="11"/>
        <v>-80.21000000000001</v>
      </c>
      <c r="P46" s="132">
        <f t="shared" si="8"/>
        <v>19.789999999999992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1457.82</v>
      </c>
      <c r="G49" s="36">
        <f t="shared" si="9"/>
        <v>-264.35000000000014</v>
      </c>
      <c r="H49" s="32">
        <f t="shared" si="7"/>
        <v>84.65017971512684</v>
      </c>
      <c r="I49" s="110">
        <f t="shared" si="10"/>
        <v>-4696.18</v>
      </c>
      <c r="J49" s="110">
        <f t="shared" si="12"/>
        <v>23.688982775430613</v>
      </c>
      <c r="K49" s="110">
        <f>F49-2466.52</f>
        <v>-1008.7</v>
      </c>
      <c r="L49" s="110">
        <f>F49/2466.52*100</f>
        <v>59.10432512203428</v>
      </c>
      <c r="M49" s="111">
        <f>E49-березень!E49</f>
        <v>540</v>
      </c>
      <c r="N49" s="179">
        <f>F49-березень!F49</f>
        <v>121.51999999999998</v>
      </c>
      <c r="O49" s="112">
        <f t="shared" si="11"/>
        <v>-418.48</v>
      </c>
      <c r="P49" s="132">
        <f t="shared" si="8"/>
        <v>22.5037037037037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1309.28</v>
      </c>
      <c r="G51" s="36">
        <f t="shared" si="9"/>
        <v>-168.70000000000005</v>
      </c>
      <c r="H51" s="32">
        <f t="shared" si="7"/>
        <v>88.5857724732405</v>
      </c>
      <c r="I51" s="42">
        <f t="shared" si="10"/>
        <v>-3490.7200000000003</v>
      </c>
      <c r="J51" s="42">
        <f t="shared" si="12"/>
        <v>27.276666666666667</v>
      </c>
      <c r="K51" s="42">
        <f>F51-1435.76</f>
        <v>-126.48000000000002</v>
      </c>
      <c r="L51" s="42">
        <f>F51/1435.76*100</f>
        <v>91.19072825541873</v>
      </c>
      <c r="M51" s="32">
        <f>E51-березень!E51</f>
        <v>470</v>
      </c>
      <c r="N51" s="178">
        <f>F51-березень!F51</f>
        <v>194.44000000000005</v>
      </c>
      <c r="O51" s="40">
        <f t="shared" si="11"/>
        <v>-275.55999999999995</v>
      </c>
      <c r="P51" s="42">
        <f t="shared" si="8"/>
        <v>41.37021276595746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304.2</v>
      </c>
      <c r="G53" s="36"/>
      <c r="H53" s="32"/>
      <c r="I53" s="42"/>
      <c r="J53" s="42"/>
      <c r="K53" s="112">
        <f>F53-313.7</f>
        <v>-9.5</v>
      </c>
      <c r="L53" s="112">
        <f>F53/313.7*100</f>
        <v>96.97162894485177</v>
      </c>
      <c r="M53" s="32">
        <f>E53-березень!E53</f>
        <v>0</v>
      </c>
      <c r="N53" s="179">
        <f>F53-березень!F53</f>
        <v>75.29999999999998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240432.45</v>
      </c>
      <c r="G58" s="37">
        <f>F58-E58</f>
        <v>-45495.85999999993</v>
      </c>
      <c r="H58" s="38">
        <f>F58/E58*100</f>
        <v>84.08836816473334</v>
      </c>
      <c r="I58" s="28">
        <f>F58-D58</f>
        <v>-643468.1499999999</v>
      </c>
      <c r="J58" s="28">
        <f>F58/D58*100</f>
        <v>27.201299557891467</v>
      </c>
      <c r="K58" s="28">
        <f>F58-208977.28</f>
        <v>31455.170000000013</v>
      </c>
      <c r="L58" s="28">
        <f>F58/208977.28*100</f>
        <v>115.05195684430385</v>
      </c>
      <c r="M58" s="15">
        <f>M8+M33+M56+M57</f>
        <v>75098.79899999998</v>
      </c>
      <c r="N58" s="15">
        <f>N8+N33+N56+N57</f>
        <v>19966.669999999995</v>
      </c>
      <c r="O58" s="41">
        <f>N58-M58</f>
        <v>-55132.128999999986</v>
      </c>
      <c r="P58" s="28">
        <f>N58/M58*100</f>
        <v>26.587202812657495</v>
      </c>
      <c r="Q58" s="28">
        <f>N58-34768</f>
        <v>-14801.330000000005</v>
      </c>
      <c r="R58" s="128">
        <f>N58/34768</f>
        <v>0.5742829613437642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0.17</v>
      </c>
      <c r="G67" s="36">
        <f aca="true" t="shared" si="13" ref="G67:G77">F67-E67</f>
        <v>-366.43</v>
      </c>
      <c r="H67" s="32"/>
      <c r="I67" s="43">
        <f aca="true" t="shared" si="14" ref="I67:I77">F67-D67</f>
        <v>-4199.83</v>
      </c>
      <c r="J67" s="43">
        <f>F67/D67*100</f>
        <v>0.004047619047619048</v>
      </c>
      <c r="K67" s="43">
        <f>F67-91.72</f>
        <v>-91.55</v>
      </c>
      <c r="L67" s="43">
        <f>F67/91.72*100</f>
        <v>0.18534670737025732</v>
      </c>
      <c r="M67" s="32">
        <f>E67-березень!E67</f>
        <v>294.6</v>
      </c>
      <c r="N67" s="178">
        <f>F67-березень!F67</f>
        <v>0.020000000000000018</v>
      </c>
      <c r="O67" s="40">
        <f aca="true" t="shared" si="15" ref="O67:O80">N67-M67</f>
        <v>-294.58000000000004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408.37</v>
      </c>
      <c r="G68" s="36">
        <f t="shared" si="13"/>
        <v>-1225.6399999999999</v>
      </c>
      <c r="H68" s="32">
        <f>F68/E68*100</f>
        <v>24.991891114497463</v>
      </c>
      <c r="I68" s="43">
        <f t="shared" si="14"/>
        <v>-7050.63</v>
      </c>
      <c r="J68" s="43">
        <f>F68/D68*100</f>
        <v>5.474862582115565</v>
      </c>
      <c r="K68" s="43">
        <f>F68-1938.06</f>
        <v>-1529.69</v>
      </c>
      <c r="L68" s="43">
        <f>F68/1938.06*100</f>
        <v>21.07107107107107</v>
      </c>
      <c r="M68" s="32">
        <f>E68-березень!E68</f>
        <v>242.5999999999999</v>
      </c>
      <c r="N68" s="178">
        <f>F68-березень!F68</f>
        <v>89.73000000000002</v>
      </c>
      <c r="O68" s="40">
        <f t="shared" si="15"/>
        <v>-152.8699999999999</v>
      </c>
      <c r="P68" s="43">
        <f>N68/M68*100</f>
        <v>36.9868095630668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7957.68</v>
      </c>
      <c r="G69" s="36">
        <f t="shared" si="13"/>
        <v>6768.83</v>
      </c>
      <c r="H69" s="32">
        <f>F69/E69*100</f>
        <v>669.35946502923</v>
      </c>
      <c r="I69" s="43">
        <f t="shared" si="14"/>
        <v>1957.6800000000003</v>
      </c>
      <c r="J69" s="43">
        <f>F69/D69*100</f>
        <v>132.62800000000001</v>
      </c>
      <c r="K69" s="43">
        <f>F69-34.14</f>
        <v>7923.54</v>
      </c>
      <c r="L69" s="43">
        <f>F69/34.14*100</f>
        <v>23308.96309314587</v>
      </c>
      <c r="M69" s="32">
        <f>E69-березень!E69</f>
        <v>301.9999999999999</v>
      </c>
      <c r="N69" s="178">
        <f>F69-березень!F69</f>
        <v>0.5900000000001455</v>
      </c>
      <c r="O69" s="40">
        <f t="shared" si="15"/>
        <v>-301.40999999999974</v>
      </c>
      <c r="P69" s="43">
        <f>N69/M69*100</f>
        <v>0.19536423841064432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8370.220000000001</v>
      </c>
      <c r="G71" s="45">
        <f t="shared" si="13"/>
        <v>5176.760000000001</v>
      </c>
      <c r="H71" s="52">
        <f>F71/E71*100</f>
        <v>262.10505220043467</v>
      </c>
      <c r="I71" s="44">
        <f t="shared" si="14"/>
        <v>-9300.779999999999</v>
      </c>
      <c r="J71" s="44">
        <f>F71/D71*100</f>
        <v>47.366985456397494</v>
      </c>
      <c r="K71" s="44">
        <f>F71-1938.06</f>
        <v>6432.160000000002</v>
      </c>
      <c r="L71" s="44">
        <f>F71/1938.06*100</f>
        <v>431.88652570095877</v>
      </c>
      <c r="M71" s="45">
        <f>M67+M68+M69+M70</f>
        <v>840.1999999999998</v>
      </c>
      <c r="N71" s="183">
        <f>N67+N68+N69+N70</f>
        <v>91.34000000000016</v>
      </c>
      <c r="O71" s="44">
        <f t="shared" si="15"/>
        <v>-748.8599999999997</v>
      </c>
      <c r="P71" s="44">
        <f>N71/M71*100</f>
        <v>10.87122113782435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E72-березень!E72</f>
        <v>0</v>
      </c>
      <c r="N72" s="178">
        <f>F72-березень!F72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2020.09</v>
      </c>
      <c r="G74" s="36">
        <f t="shared" si="13"/>
        <v>-0.6100000000001273</v>
      </c>
      <c r="H74" s="32">
        <f>F74/E74*100</f>
        <v>99.96981244123323</v>
      </c>
      <c r="I74" s="43">
        <f t="shared" si="14"/>
        <v>-7479.91</v>
      </c>
      <c r="J74" s="40">
        <f>F74/D74*100</f>
        <v>21.26410526315789</v>
      </c>
      <c r="K74" s="40">
        <f>F74-0</f>
        <v>2020.09</v>
      </c>
      <c r="L74" s="43"/>
      <c r="M74" s="32">
        <f>E74-березень!E74</f>
        <v>15</v>
      </c>
      <c r="N74" s="178">
        <f>F74-березень!F74</f>
        <v>1.0899999999999181</v>
      </c>
      <c r="O74" s="40">
        <f>N74-M74</f>
        <v>-13.910000000000082</v>
      </c>
      <c r="P74" s="46">
        <f>N74/M74*100</f>
        <v>7.26666666666612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2020.9299999999998</v>
      </c>
      <c r="G76" s="30">
        <f>G72+G75+G73+G74</f>
        <v>0.22999999999987275</v>
      </c>
      <c r="H76" s="52">
        <f>F76/E76*100</f>
        <v>100.01138219428908</v>
      </c>
      <c r="I76" s="44">
        <f t="shared" si="14"/>
        <v>-7480.07</v>
      </c>
      <c r="J76" s="44">
        <f>F76/D76*100</f>
        <v>21.27070834648984</v>
      </c>
      <c r="K76" s="44">
        <f>F76-0.7</f>
        <v>2020.2299999999998</v>
      </c>
      <c r="L76" s="44">
        <f>F76/0.7*100</f>
        <v>288704.2857142857</v>
      </c>
      <c r="M76" s="45">
        <f>M72+M75+M73+M74</f>
        <v>15</v>
      </c>
      <c r="N76" s="183">
        <f>N72+N75+N73+N74</f>
        <v>1.0899999999999181</v>
      </c>
      <c r="O76" s="45">
        <f>O72+O75+O73+O74</f>
        <v>-13.910000000000082</v>
      </c>
      <c r="P76" s="44">
        <f>N76/M76*100</f>
        <v>7.26666666666612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10400.070000000002</v>
      </c>
      <c r="G79" s="37">
        <f>F79-E79</f>
        <v>5172.770000000001</v>
      </c>
      <c r="H79" s="38">
        <f>F79/E79*100</f>
        <v>198.95682283396786</v>
      </c>
      <c r="I79" s="28">
        <f>F79-D79</f>
        <v>-16814.93</v>
      </c>
      <c r="J79" s="28">
        <f>F79/D79*100</f>
        <v>38.21447731030682</v>
      </c>
      <c r="K79" s="28">
        <f>F79-2072.3</f>
        <v>8327.77</v>
      </c>
      <c r="L79" s="28">
        <f>F79/2072.3*100</f>
        <v>501.86121700525985</v>
      </c>
      <c r="M79" s="24">
        <f>M65+M77+M71+M76</f>
        <v>855.6299999999998</v>
      </c>
      <c r="N79" s="24">
        <f>N65+N77+N71+N76+N78</f>
        <v>92.43000000000008</v>
      </c>
      <c r="O79" s="28">
        <f t="shared" si="15"/>
        <v>-763.1999999999997</v>
      </c>
      <c r="P79" s="28">
        <f>N79/M79*100</f>
        <v>10.802566529925329</v>
      </c>
      <c r="Q79" s="28">
        <f>N79-8104.96</f>
        <v>-8012.53</v>
      </c>
      <c r="R79" s="101">
        <f>N79/8104.96</f>
        <v>0.011404127842703737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250832.52000000002</v>
      </c>
      <c r="G80" s="37">
        <f>F80-E80</f>
        <v>-40323.08999999991</v>
      </c>
      <c r="H80" s="38">
        <f>F80/E80*100</f>
        <v>86.1506738613074</v>
      </c>
      <c r="I80" s="28">
        <f>F80-D80</f>
        <v>-660283.08</v>
      </c>
      <c r="J80" s="28">
        <f>F80/D80*100</f>
        <v>27.530262899680352</v>
      </c>
      <c r="K80" s="28">
        <f>F80-211049.59</f>
        <v>39782.93000000002</v>
      </c>
      <c r="L80" s="28">
        <f>F80/211049.59*100</f>
        <v>118.85003898846713</v>
      </c>
      <c r="M80" s="15">
        <f>M58+M79</f>
        <v>75954.42899999999</v>
      </c>
      <c r="N80" s="15">
        <f>N58+N79</f>
        <v>20059.099999999995</v>
      </c>
      <c r="O80" s="28">
        <f t="shared" si="15"/>
        <v>-55895.329</v>
      </c>
      <c r="P80" s="28">
        <f>N80/M80*100</f>
        <v>26.409388187224735</v>
      </c>
      <c r="Q80" s="28">
        <f>N80-42872.96</f>
        <v>-22813.860000000004</v>
      </c>
      <c r="R80" s="101">
        <f>N80/42872.96</f>
        <v>0.46787299034169777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15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3675.475266666666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42468</v>
      </c>
      <c r="D84" s="31">
        <v>2066.3</v>
      </c>
      <c r="G84" s="4" t="s">
        <v>59</v>
      </c>
      <c r="N84" s="216"/>
      <c r="O84" s="216"/>
    </row>
    <row r="85" spans="3:15" ht="15">
      <c r="C85" s="87">
        <v>42467</v>
      </c>
      <c r="D85" s="31">
        <v>4445.7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42466</v>
      </c>
      <c r="D86" s="31">
        <v>4036.4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1.00631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7" sqref="I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228.9</v>
      </c>
      <c r="G53" s="36"/>
      <c r="H53" s="32"/>
      <c r="I53" s="42"/>
      <c r="J53" s="42"/>
      <c r="K53" s="112">
        <f>F53-239.6</f>
        <v>-10.699999999999989</v>
      </c>
      <c r="L53" s="112">
        <f>F53/239.6*100</f>
        <v>95.53422370617697</v>
      </c>
      <c r="M53" s="111"/>
      <c r="N53" s="179">
        <f>F53-лютий!F53</f>
        <v>81.6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2016-04-08T08:51:44Z</cp:lastPrinted>
  <dcterms:created xsi:type="dcterms:W3CDTF">2003-07-28T11:27:56Z</dcterms:created>
  <dcterms:modified xsi:type="dcterms:W3CDTF">2016-04-11T09:14:13Z</dcterms:modified>
  <cp:category/>
  <cp:version/>
  <cp:contentType/>
  <cp:contentStatus/>
</cp:coreProperties>
</file>